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ddrucker\Documents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1" l="1"/>
  <c r="L58" i="1" s="1"/>
  <c r="M55" i="1"/>
  <c r="N55" i="1" s="1"/>
  <c r="L63" i="1"/>
  <c r="M39" i="1"/>
  <c r="M44" i="1" s="1"/>
  <c r="N39" i="1"/>
  <c r="N48" i="1" s="1"/>
  <c r="O39" i="1"/>
  <c r="O48" i="1" s="1"/>
  <c r="P39" i="1"/>
  <c r="P44" i="1" s="1"/>
  <c r="Q39" i="1"/>
  <c r="Q44" i="1" s="1"/>
  <c r="R39" i="1"/>
  <c r="R48" i="1" s="1"/>
  <c r="L39" i="1"/>
  <c r="L44" i="1" s="1"/>
  <c r="L32" i="1"/>
  <c r="Q48" i="1"/>
  <c r="L41" i="1"/>
  <c r="N32" i="1"/>
  <c r="M32" i="1"/>
  <c r="O32" i="1"/>
  <c r="Q32" i="1"/>
  <c r="R32" i="1"/>
  <c r="M28" i="1"/>
  <c r="N28" i="1"/>
  <c r="O28" i="1"/>
  <c r="P28" i="1"/>
  <c r="P32" i="1" s="1"/>
  <c r="Q28" i="1"/>
  <c r="R28" i="1"/>
  <c r="L28" i="1"/>
  <c r="R26" i="1"/>
  <c r="Q26" i="1" s="1"/>
  <c r="P26" i="1" s="1"/>
  <c r="O26" i="1" s="1"/>
  <c r="N26" i="1" s="1"/>
  <c r="M26" i="1" s="1"/>
  <c r="L26" i="1" s="1"/>
  <c r="M63" i="1" l="1"/>
  <c r="N59" i="1"/>
  <c r="O55" i="1"/>
  <c r="L29" i="1"/>
  <c r="N63" i="1"/>
  <c r="L59" i="1"/>
  <c r="M59" i="1"/>
  <c r="O44" i="1"/>
  <c r="N44" i="1"/>
  <c r="R44" i="1"/>
  <c r="M48" i="1"/>
  <c r="P42" i="1"/>
  <c r="O42" i="1" s="1"/>
  <c r="N42" i="1" s="1"/>
  <c r="M42" i="1" s="1"/>
  <c r="L42" i="1" s="1"/>
  <c r="P48" i="1"/>
  <c r="R42" i="1"/>
  <c r="Q42" i="1" s="1"/>
  <c r="L48" i="1"/>
  <c r="L33" i="1"/>
  <c r="L27" i="1"/>
  <c r="O63" i="1" l="1"/>
  <c r="P55" i="1"/>
  <c r="O59" i="1"/>
  <c r="L30" i="1"/>
  <c r="L31" i="1" s="1"/>
  <c r="L45" i="1"/>
  <c r="L34" i="1"/>
  <c r="L35" i="1" s="1"/>
  <c r="L49" i="1"/>
  <c r="L43" i="1"/>
  <c r="L36" i="1" l="1"/>
  <c r="Q55" i="1"/>
  <c r="P59" i="1"/>
  <c r="P63" i="1" s="1"/>
  <c r="L46" i="1"/>
  <c r="L47" i="1" s="1"/>
  <c r="L50" i="1"/>
  <c r="L51" i="1" s="1"/>
  <c r="L52" i="1" l="1"/>
  <c r="K17" i="1" s="1"/>
  <c r="R55" i="1"/>
  <c r="Q63" i="1"/>
  <c r="Q59" i="1"/>
  <c r="R59" i="1" l="1"/>
  <c r="L60" i="1" s="1"/>
  <c r="R63" i="1"/>
  <c r="L64" i="1" s="1"/>
  <c r="L61" i="1" l="1"/>
  <c r="L62" i="1" s="1"/>
  <c r="L65" i="1"/>
  <c r="L66" i="1" s="1"/>
  <c r="L67" i="1" l="1"/>
</calcChain>
</file>

<file path=xl/sharedStrings.xml><?xml version="1.0" encoding="utf-8"?>
<sst xmlns="http://schemas.openxmlformats.org/spreadsheetml/2006/main" count="65" uniqueCount="45">
  <si>
    <t>No</t>
  </si>
  <si>
    <t>(1)</t>
  </si>
  <si>
    <t>(2)</t>
  </si>
  <si>
    <t>Yes</t>
  </si>
  <si>
    <t>(3)</t>
  </si>
  <si>
    <t xml:space="preserve">If the answer to (1), above, is yes,  what is the company's WACC (weighted average cost of capital)? </t>
  </si>
  <si>
    <t>(4)</t>
  </si>
  <si>
    <t>(5)</t>
  </si>
  <si>
    <t>What is the company's estimated ROI (Return on Investment)?</t>
  </si>
  <si>
    <t>(6)</t>
  </si>
  <si>
    <t>(7)</t>
  </si>
  <si>
    <t xml:space="preserve">Does the company have a fluid relationship with capital markets (i.e. it is publicly traded with regular fulfillment of bond/equity offerings with minimal transaction costs)? (yes/no)? </t>
  </si>
  <si>
    <t xml:space="preserve">If the answer to (3), above, is yes, what is the expected average FCF to the company on an annual basis (3 - 5 year forward looking period)? </t>
  </si>
  <si>
    <t xml:space="preserve">What is the  amount of legal fees and expenses necessary to optimally resolve the legal claims? </t>
  </si>
  <si>
    <t xml:space="preserve">What is the expected time period necessary to resolve the legal claim (in years)? </t>
  </si>
  <si>
    <t>(8)</t>
  </si>
  <si>
    <t xml:space="preserve">What is a reasonable estimate of the amount at issue? </t>
  </si>
  <si>
    <t>(9)</t>
  </si>
  <si>
    <t>(10)</t>
  </si>
  <si>
    <t xml:space="preserve">What is the likelhood that that the legal claim prevails on its merits?  </t>
  </si>
  <si>
    <t xml:space="preserve">If the answer to (1), above, is no, does the company expect to produce postive FCF (free cash flow) annually? </t>
  </si>
  <si>
    <t>Year</t>
  </si>
  <si>
    <t>Public Company Analysis</t>
  </si>
  <si>
    <t>Approximate Cash Out-Flows</t>
  </si>
  <si>
    <t>NPV of Cash Out-Flows</t>
  </si>
  <si>
    <t>What percentage of net proceeds will a legal claim financier require to provide funding? (net proceeds equal gross proceeds less the amount of legal fees and expenses)</t>
  </si>
  <si>
    <t>Lit Financier's Expected Return</t>
  </si>
  <si>
    <t>NPV of Lit Financier's Stake</t>
  </si>
  <si>
    <t>NPV of Project Using Litigation Finance</t>
  </si>
  <si>
    <t>Expected Value of Succesful Claim</t>
  </si>
  <si>
    <t>NPV of Award</t>
  </si>
  <si>
    <t>NPV of Succesful Claim Project</t>
  </si>
  <si>
    <t>Analysis</t>
  </si>
  <si>
    <t>Private Company w/ Significant Free Cash Flows</t>
  </si>
  <si>
    <t>10 Questions to Help Determine Whether to Use Litigation Finance</t>
  </si>
  <si>
    <t xml:space="preserve">Does the company have enough free cash flow to cover litigation fees and expenses? </t>
  </si>
  <si>
    <t>Expected Value of Successful Claim</t>
  </si>
  <si>
    <t>NPV of Successful Claim Using Litigation Finance</t>
  </si>
  <si>
    <t>Claim Value Using Litigaiton Finance</t>
  </si>
  <si>
    <t>Claim Value using Self-Financing</t>
  </si>
  <si>
    <t>Day 1 Capital Reserved</t>
  </si>
  <si>
    <t>Private Company w/out Significant Free Cash Flows</t>
  </si>
  <si>
    <t xml:space="preserve">Use Litigation Finance? </t>
  </si>
  <si>
    <t xml:space="preserve">Conclusion: </t>
  </si>
  <si>
    <t>Conlcusion: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</si>
</sst>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26"/>
      <color theme="0" tint="-0.14999847407452621"/>
      <name val="Adobe Fan Heiti Std B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FF505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/>
    </xf>
    <xf numFmtId="0" fontId="0" fillId="3" borderId="0" xfId="0" applyFill="1"/>
    <xf numFmtId="0" fontId="2" fillId="3" borderId="0" xfId="0" applyFont="1" applyFill="1"/>
    <xf numFmtId="49" fontId="3" fillId="3" borderId="0" xfId="0" applyNumberFormat="1" applyFont="1" applyFill="1" applyAlignment="1">
      <alignment horizontal="right"/>
    </xf>
    <xf numFmtId="0" fontId="0" fillId="4" borderId="0" xfId="0" applyFill="1" applyAlignment="1">
      <alignment horizontal="left" vertical="top" wrapText="1"/>
    </xf>
    <xf numFmtId="0" fontId="0" fillId="5" borderId="0" xfId="1" applyNumberFormat="1" applyFont="1" applyFill="1" applyAlignment="1">
      <alignment horizontal="center" vertical="center" wrapText="1"/>
    </xf>
    <xf numFmtId="164" fontId="0" fillId="5" borderId="0" xfId="1" applyNumberFormat="1" applyFont="1" applyFill="1" applyAlignment="1">
      <alignment horizontal="center" vertical="center" wrapText="1"/>
    </xf>
    <xf numFmtId="9" fontId="0" fillId="5" borderId="0" xfId="2" applyFont="1" applyFill="1" applyAlignment="1">
      <alignment horizontal="center" vertical="center" wrapText="1"/>
    </xf>
    <xf numFmtId="6" fontId="0" fillId="5" borderId="0" xfId="2" applyNumberFormat="1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horizontal="left" vertical="top" wrapText="1"/>
    </xf>
    <xf numFmtId="164" fontId="0" fillId="6" borderId="0" xfId="1" applyNumberFormat="1" applyFont="1" applyFill="1" applyAlignment="1">
      <alignment horizontal="center" vertical="center" wrapText="1"/>
    </xf>
    <xf numFmtId="0" fontId="0" fillId="4" borderId="0" xfId="0" applyFill="1"/>
    <xf numFmtId="0" fontId="0" fillId="7" borderId="0" xfId="0" applyFill="1"/>
    <xf numFmtId="0" fontId="4" fillId="7" borderId="0" xfId="0" applyFont="1" applyFill="1" applyAlignment="1">
      <alignment horizontal="center" vertical="top" wrapText="1"/>
    </xf>
    <xf numFmtId="0" fontId="2" fillId="7" borderId="0" xfId="0" applyFont="1" applyFill="1"/>
    <xf numFmtId="0" fontId="4" fillId="7" borderId="0" xfId="0" applyFont="1" applyFill="1" applyAlignment="1">
      <alignment horizontal="center" vertical="center" wrapText="1"/>
    </xf>
    <xf numFmtId="165" fontId="0" fillId="2" borderId="0" xfId="1" applyNumberFormat="1" applyFont="1" applyFill="1"/>
    <xf numFmtId="165" fontId="0" fillId="2" borderId="0" xfId="0" applyNumberFormat="1" applyFill="1"/>
    <xf numFmtId="0" fontId="6" fillId="7" borderId="0" xfId="0" applyFont="1" applyFill="1"/>
    <xf numFmtId="0" fontId="0" fillId="4" borderId="0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/>
    <xf numFmtId="0" fontId="0" fillId="4" borderId="1" xfId="0" applyFill="1" applyBorder="1" applyAlignment="1">
      <alignment horizontal="center"/>
    </xf>
    <xf numFmtId="0" fontId="5" fillId="5" borderId="0" xfId="0" applyFont="1" applyFill="1" applyAlignment="1">
      <alignment horizontal="center" vertical="center" wrapText="1"/>
    </xf>
    <xf numFmtId="3" fontId="0" fillId="2" borderId="0" xfId="0" applyNumberFormat="1" applyFill="1"/>
    <xf numFmtId="0" fontId="7" fillId="2" borderId="0" xfId="0" applyFont="1" applyFill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5050"/>
      <color rgb="FFFFFFFF"/>
      <color rgb="FF98EEF2"/>
      <color rgb="FFFF8B8B"/>
      <color rgb="FFFF7C80"/>
      <color rgb="FFCC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180765</xdr:colOff>
      <xdr:row>1</xdr:row>
      <xdr:rowOff>171450</xdr:rowOff>
    </xdr:from>
    <xdr:to>
      <xdr:col>10</xdr:col>
      <xdr:colOff>1728974</xdr:colOff>
      <xdr:row>9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715" y="361950"/>
          <a:ext cx="4710509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0"/>
  <sheetViews>
    <sheetView tabSelected="1" workbookViewId="0">
      <selection activeCell="L8" sqref="L8"/>
    </sheetView>
  </sheetViews>
  <sheetFormatPr defaultRowHeight="15" x14ac:dyDescent="0.25"/>
  <cols>
    <col min="1" max="1" width="13.7109375" customWidth="1"/>
    <col min="2" max="2" width="4.28515625" customWidth="1"/>
    <col min="9" max="9" width="10.85546875" customWidth="1"/>
    <col min="10" max="10" width="9.140625" customWidth="1"/>
    <col min="11" max="11" width="50.85546875" customWidth="1"/>
    <col min="12" max="12" width="18" bestFit="1" customWidth="1"/>
    <col min="13" max="13" width="15.140625" bestFit="1" customWidth="1"/>
    <col min="14" max="14" width="15.28515625" bestFit="1" customWidth="1"/>
    <col min="15" max="15" width="16.28515625" bestFit="1" customWidth="1"/>
    <col min="16" max="16" width="13.85546875" bestFit="1" customWidth="1"/>
    <col min="17" max="17" width="9.42578125" bestFit="1" customWidth="1"/>
    <col min="18" max="18" width="9.28515625" bestFit="1" customWidth="1"/>
  </cols>
  <sheetData>
    <row r="1" spans="1:4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x14ac:dyDescent="0.25">
      <c r="A3" s="1"/>
      <c r="B3" s="1"/>
      <c r="C3" s="1"/>
      <c r="D3" s="1"/>
      <c r="E3" s="1"/>
      <c r="F3" s="1"/>
      <c r="G3" s="1"/>
      <c r="H3" s="30"/>
      <c r="I3" s="30"/>
      <c r="J3" s="30"/>
      <c r="K3" s="3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x14ac:dyDescent="0.25">
      <c r="A4" s="1"/>
      <c r="B4" s="1"/>
      <c r="C4" s="1"/>
      <c r="D4" s="1"/>
      <c r="E4" s="1"/>
      <c r="F4" s="1"/>
      <c r="G4" s="1"/>
      <c r="H4" s="30"/>
      <c r="I4" s="30"/>
      <c r="J4" s="30"/>
      <c r="K4" s="3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x14ac:dyDescent="0.25">
      <c r="A5" s="1"/>
      <c r="B5" s="1"/>
      <c r="C5" s="1"/>
      <c r="D5" s="1"/>
      <c r="E5" s="1"/>
      <c r="F5" s="1"/>
      <c r="G5" s="1"/>
      <c r="H5" s="30"/>
      <c r="I5" s="30"/>
      <c r="J5" s="30"/>
      <c r="K5" s="3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x14ac:dyDescent="0.25">
      <c r="A6" s="1"/>
      <c r="B6" s="1"/>
      <c r="C6" s="1"/>
      <c r="D6" s="1"/>
      <c r="E6" s="1"/>
      <c r="F6" s="1"/>
      <c r="G6" s="1"/>
      <c r="H6" s="30"/>
      <c r="I6" s="30"/>
      <c r="J6" s="30"/>
      <c r="K6" s="3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x14ac:dyDescent="0.25">
      <c r="A12" s="1"/>
      <c r="B12" s="17" t="s">
        <v>34</v>
      </c>
      <c r="C12" s="17"/>
      <c r="D12" s="17"/>
      <c r="E12" s="17"/>
      <c r="F12" s="17"/>
      <c r="G12" s="17"/>
      <c r="H12" s="17"/>
      <c r="I12" s="17"/>
      <c r="J12" s="1"/>
      <c r="K12" s="19" t="s">
        <v>42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x14ac:dyDescent="0.25">
      <c r="A13" s="1"/>
      <c r="B13" s="17"/>
      <c r="C13" s="17"/>
      <c r="D13" s="17"/>
      <c r="E13" s="17"/>
      <c r="F13" s="17"/>
      <c r="G13" s="17"/>
      <c r="H13" s="17"/>
      <c r="I13" s="17"/>
      <c r="J13" s="1"/>
      <c r="K13" s="1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5" customHeight="1" x14ac:dyDescent="0.25">
      <c r="A14" s="1"/>
      <c r="B14" s="17"/>
      <c r="C14" s="17"/>
      <c r="D14" s="17"/>
      <c r="E14" s="17"/>
      <c r="F14" s="17"/>
      <c r="G14" s="17"/>
      <c r="H14" s="17"/>
      <c r="I14" s="17"/>
      <c r="J14" s="1"/>
      <c r="K14" s="1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5" customHeight="1" x14ac:dyDescent="0.25">
      <c r="A15" s="1"/>
      <c r="B15" s="17"/>
      <c r="C15" s="17"/>
      <c r="D15" s="17"/>
      <c r="E15" s="17"/>
      <c r="F15" s="17"/>
      <c r="G15" s="17"/>
      <c r="H15" s="17"/>
      <c r="I15" s="17"/>
      <c r="J15" s="1"/>
      <c r="K15" s="1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x14ac:dyDescent="0.25">
      <c r="A17" s="1"/>
      <c r="B17" s="5" t="s">
        <v>1</v>
      </c>
      <c r="C17" s="6" t="s">
        <v>11</v>
      </c>
      <c r="D17" s="6"/>
      <c r="E17" s="6"/>
      <c r="F17" s="6"/>
      <c r="G17" s="6"/>
      <c r="H17" s="11" t="s">
        <v>0</v>
      </c>
      <c r="I17" s="11"/>
      <c r="J17" s="1"/>
      <c r="K17" s="28" t="str">
        <f>IF(H17="yes",L36,IF(L41="yes",L52,L67))</f>
        <v>Yes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x14ac:dyDescent="0.25">
      <c r="A18" s="1"/>
      <c r="B18" s="4"/>
      <c r="C18" s="6"/>
      <c r="D18" s="6"/>
      <c r="E18" s="6"/>
      <c r="F18" s="6"/>
      <c r="G18" s="6"/>
      <c r="H18" s="11"/>
      <c r="I18" s="11"/>
      <c r="J18" s="1"/>
      <c r="K18" s="28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x14ac:dyDescent="0.25">
      <c r="A19" s="1"/>
      <c r="B19" s="4"/>
      <c r="C19" s="6"/>
      <c r="D19" s="6"/>
      <c r="E19" s="6"/>
      <c r="F19" s="6"/>
      <c r="G19" s="6"/>
      <c r="H19" s="11"/>
      <c r="I19" s="11"/>
      <c r="J19" s="1"/>
      <c r="K19" s="28"/>
      <c r="L19" s="12"/>
      <c r="M19" s="12"/>
      <c r="N19" s="12"/>
      <c r="O19" s="12"/>
      <c r="P19" s="12"/>
      <c r="Q19" s="12"/>
      <c r="R19" s="1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x14ac:dyDescent="0.25">
      <c r="A20" s="1"/>
      <c r="B20" s="4"/>
      <c r="C20" s="6"/>
      <c r="D20" s="6"/>
      <c r="E20" s="6"/>
      <c r="F20" s="6"/>
      <c r="G20" s="6"/>
      <c r="H20" s="11"/>
      <c r="I20" s="11"/>
      <c r="J20" s="1"/>
      <c r="K20" s="28"/>
      <c r="L20" s="12"/>
      <c r="M20" s="12"/>
      <c r="N20" s="12"/>
      <c r="O20" s="12"/>
      <c r="P20" s="12"/>
      <c r="Q20" s="12"/>
      <c r="R20" s="1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x14ac:dyDescent="0.25">
      <c r="A21" s="1"/>
      <c r="B21" s="1"/>
      <c r="C21" s="1"/>
      <c r="D21" s="1"/>
      <c r="E21" s="1"/>
      <c r="F21" s="1"/>
      <c r="G21" s="1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x14ac:dyDescent="0.25">
      <c r="A22" s="1"/>
      <c r="B22" s="5" t="s">
        <v>2</v>
      </c>
      <c r="C22" s="6" t="s">
        <v>5</v>
      </c>
      <c r="D22" s="6"/>
      <c r="E22" s="6"/>
      <c r="F22" s="6"/>
      <c r="G22" s="6"/>
      <c r="H22" s="9">
        <v>0.08</v>
      </c>
      <c r="I22" s="9"/>
      <c r="J22" s="1"/>
      <c r="K22" s="18" t="s">
        <v>32</v>
      </c>
      <c r="L22" s="18"/>
      <c r="M22" s="18"/>
      <c r="N22" s="18"/>
      <c r="O22" s="18"/>
      <c r="P22" s="18"/>
      <c r="Q22" s="18"/>
      <c r="R22" s="18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x14ac:dyDescent="0.25">
      <c r="A23" s="1"/>
      <c r="B23" s="3"/>
      <c r="C23" s="6"/>
      <c r="D23" s="6"/>
      <c r="E23" s="6"/>
      <c r="F23" s="6"/>
      <c r="G23" s="6"/>
      <c r="H23" s="9"/>
      <c r="I23" s="9"/>
      <c r="J23" s="1"/>
      <c r="K23" s="26"/>
      <c r="L23" s="27" t="s">
        <v>21</v>
      </c>
      <c r="M23" s="27"/>
      <c r="N23" s="27"/>
      <c r="O23" s="27"/>
      <c r="P23" s="27"/>
      <c r="Q23" s="27"/>
      <c r="R23" s="27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x14ac:dyDescent="0.25">
      <c r="A24" s="1"/>
      <c r="B24" s="3"/>
      <c r="C24" s="6"/>
      <c r="D24" s="6"/>
      <c r="E24" s="6"/>
      <c r="F24" s="6"/>
      <c r="G24" s="6"/>
      <c r="H24" s="9"/>
      <c r="I24" s="9"/>
      <c r="J24" s="1"/>
      <c r="K24" s="23"/>
      <c r="L24" s="23">
        <v>1</v>
      </c>
      <c r="M24" s="23">
        <v>2</v>
      </c>
      <c r="N24" s="23">
        <v>3</v>
      </c>
      <c r="O24" s="23">
        <v>4</v>
      </c>
      <c r="P24" s="23">
        <v>5</v>
      </c>
      <c r="Q24" s="23">
        <v>6</v>
      </c>
      <c r="R24" s="23">
        <v>7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x14ac:dyDescent="0.25">
      <c r="A25" s="1"/>
      <c r="B25" s="3"/>
      <c r="C25" s="6"/>
      <c r="D25" s="6"/>
      <c r="E25" s="6"/>
      <c r="F25" s="6"/>
      <c r="G25" s="6"/>
      <c r="H25" s="9"/>
      <c r="I25" s="9"/>
      <c r="J25" s="1"/>
      <c r="K25" s="22" t="s">
        <v>22</v>
      </c>
      <c r="L25" s="16"/>
      <c r="M25" s="16"/>
      <c r="N25" s="16"/>
      <c r="O25" s="16"/>
      <c r="P25" s="16"/>
      <c r="Q25" s="16"/>
      <c r="R25" s="1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 t="s">
        <v>23</v>
      </c>
      <c r="L26" s="20">
        <f>IF(L24=$H$47,$H$42/-L24,M26)</f>
        <v>-1000000</v>
      </c>
      <c r="M26" s="20">
        <f t="shared" ref="M26:R26" si="0">IF(M24=$H$47,$H$42/-M24,N26)</f>
        <v>-1000000</v>
      </c>
      <c r="N26" s="20">
        <f t="shared" si="0"/>
        <v>-1000000</v>
      </c>
      <c r="O26" s="20">
        <f t="shared" si="0"/>
        <v>-1000000</v>
      </c>
      <c r="P26" s="20">
        <f t="shared" si="0"/>
        <v>-1000000</v>
      </c>
      <c r="Q26" s="20">
        <f t="shared" si="0"/>
        <v>0</v>
      </c>
      <c r="R26" s="20">
        <f t="shared" si="0"/>
        <v>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x14ac:dyDescent="0.25">
      <c r="A27" s="1"/>
      <c r="B27" s="5" t="s">
        <v>4</v>
      </c>
      <c r="C27" s="6" t="s">
        <v>20</v>
      </c>
      <c r="D27" s="6"/>
      <c r="E27" s="6"/>
      <c r="F27" s="6"/>
      <c r="G27" s="6"/>
      <c r="H27" s="11" t="s">
        <v>3</v>
      </c>
      <c r="I27" s="11"/>
      <c r="J27" s="1"/>
      <c r="K27" s="1" t="s">
        <v>24</v>
      </c>
      <c r="L27" s="21">
        <f>NPV($H$22,L26:R26)</f>
        <v>-3992710.0370780849</v>
      </c>
      <c r="M27" s="21"/>
      <c r="N27" s="21"/>
      <c r="O27" s="21"/>
      <c r="P27" s="21"/>
      <c r="Q27" s="21"/>
      <c r="R27" s="2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x14ac:dyDescent="0.25">
      <c r="A28" s="1"/>
      <c r="B28" s="4"/>
      <c r="C28" s="6"/>
      <c r="D28" s="6"/>
      <c r="E28" s="6"/>
      <c r="F28" s="6"/>
      <c r="G28" s="6"/>
      <c r="H28" s="11"/>
      <c r="I28" s="11"/>
      <c r="J28" s="1"/>
      <c r="K28" s="1" t="s">
        <v>29</v>
      </c>
      <c r="L28" s="20">
        <f>IF(L24=$H$47,$H$52,0)</f>
        <v>0</v>
      </c>
      <c r="M28" s="20">
        <f t="shared" ref="M28:R28" si="1">IF(M24=$H$47,$H$52,0)</f>
        <v>0</v>
      </c>
      <c r="N28" s="20">
        <f t="shared" si="1"/>
        <v>0</v>
      </c>
      <c r="O28" s="20">
        <f t="shared" si="1"/>
        <v>0</v>
      </c>
      <c r="P28" s="20">
        <f t="shared" si="1"/>
        <v>30000000</v>
      </c>
      <c r="Q28" s="20">
        <f t="shared" si="1"/>
        <v>0</v>
      </c>
      <c r="R28" s="20">
        <f t="shared" si="1"/>
        <v>0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x14ac:dyDescent="0.25">
      <c r="A29" s="1"/>
      <c r="B29" s="3"/>
      <c r="C29" s="6"/>
      <c r="D29" s="6"/>
      <c r="E29" s="6"/>
      <c r="F29" s="6"/>
      <c r="G29" s="6"/>
      <c r="H29" s="11"/>
      <c r="I29" s="11"/>
      <c r="J29" s="1"/>
      <c r="K29" s="1" t="s">
        <v>30</v>
      </c>
      <c r="L29" s="21">
        <f>NPV($H$22,L28:R28)</f>
        <v>20417495.91101259</v>
      </c>
      <c r="M29" s="21"/>
      <c r="N29" s="21"/>
      <c r="O29" s="21"/>
      <c r="P29" s="21"/>
      <c r="Q29" s="21"/>
      <c r="R29" s="2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x14ac:dyDescent="0.25">
      <c r="A30" s="1"/>
      <c r="B30" s="3"/>
      <c r="C30" s="6"/>
      <c r="D30" s="6"/>
      <c r="E30" s="6"/>
      <c r="F30" s="6"/>
      <c r="G30" s="6"/>
      <c r="H30" s="11"/>
      <c r="I30" s="11"/>
      <c r="J30" s="1"/>
      <c r="K30" s="1" t="s">
        <v>31</v>
      </c>
      <c r="L30" s="21">
        <f>L29+L27</f>
        <v>16424785.873934506</v>
      </c>
      <c r="M30" s="21"/>
      <c r="N30" s="21"/>
      <c r="O30" s="21"/>
      <c r="P30" s="21"/>
      <c r="Q30" s="21"/>
      <c r="R30" s="2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 t="s">
        <v>39</v>
      </c>
      <c r="L31" s="21">
        <f>$H$57*L30+(1-$H$57)*L27</f>
        <v>9278662.305080099</v>
      </c>
      <c r="M31" s="21"/>
      <c r="N31" s="21"/>
      <c r="O31" s="21"/>
      <c r="P31" s="21"/>
      <c r="Q31" s="21"/>
      <c r="R31" s="2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x14ac:dyDescent="0.25">
      <c r="A32" s="1"/>
      <c r="B32" s="5" t="s">
        <v>6</v>
      </c>
      <c r="C32" s="6" t="s">
        <v>12</v>
      </c>
      <c r="D32" s="6"/>
      <c r="E32" s="6"/>
      <c r="F32" s="6"/>
      <c r="G32" s="6"/>
      <c r="H32" s="10">
        <v>2000000</v>
      </c>
      <c r="I32" s="9"/>
      <c r="J32" s="1"/>
      <c r="K32" s="1" t="s">
        <v>26</v>
      </c>
      <c r="L32" s="21">
        <f>IF(L24=$H$47,$H$42+$H$62*(L28-$H$42),0)</f>
        <v>0</v>
      </c>
      <c r="M32" s="21">
        <f t="shared" ref="M32:R32" si="2">IF(M24=$H$47,$H$42+$H$62*(M28-$H$42),0)</f>
        <v>0</v>
      </c>
      <c r="N32" s="21">
        <f>IF(N24=$H$47,$H$42+$H$62*(N28-$H$42),0)</f>
        <v>0</v>
      </c>
      <c r="O32" s="21">
        <f t="shared" si="2"/>
        <v>0</v>
      </c>
      <c r="P32" s="21">
        <f t="shared" si="2"/>
        <v>11250000</v>
      </c>
      <c r="Q32" s="21">
        <f t="shared" si="2"/>
        <v>0</v>
      </c>
      <c r="R32" s="21">
        <f t="shared" si="2"/>
        <v>0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x14ac:dyDescent="0.25">
      <c r="A33" s="1"/>
      <c r="B33" s="3"/>
      <c r="C33" s="6"/>
      <c r="D33" s="6"/>
      <c r="E33" s="6"/>
      <c r="F33" s="6"/>
      <c r="G33" s="6"/>
      <c r="H33" s="9"/>
      <c r="I33" s="9"/>
      <c r="J33" s="1"/>
      <c r="K33" s="1" t="s">
        <v>27</v>
      </c>
      <c r="L33" s="21">
        <f>NPV($H$22,L32:R32)</f>
        <v>7656560.9666297203</v>
      </c>
      <c r="M33" s="21"/>
      <c r="N33" s="21"/>
      <c r="O33" s="21"/>
      <c r="P33" s="21"/>
      <c r="Q33" s="21"/>
      <c r="R33" s="2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25">
      <c r="A34" s="1"/>
      <c r="B34" s="3"/>
      <c r="C34" s="6"/>
      <c r="D34" s="6"/>
      <c r="E34" s="6"/>
      <c r="F34" s="6"/>
      <c r="G34" s="6"/>
      <c r="H34" s="9"/>
      <c r="I34" s="9"/>
      <c r="J34" s="1"/>
      <c r="K34" s="1" t="s">
        <v>37</v>
      </c>
      <c r="L34" s="21">
        <f>(L29-L33)</f>
        <v>12760934.944382869</v>
      </c>
      <c r="M34" s="21"/>
      <c r="N34" s="21"/>
      <c r="O34" s="21"/>
      <c r="P34" s="21"/>
      <c r="Q34" s="21"/>
      <c r="R34" s="2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x14ac:dyDescent="0.25">
      <c r="A35" s="1"/>
      <c r="B35" s="3"/>
      <c r="C35" s="6"/>
      <c r="D35" s="6"/>
      <c r="E35" s="6"/>
      <c r="F35" s="6"/>
      <c r="G35" s="6"/>
      <c r="H35" s="9"/>
      <c r="I35" s="9"/>
      <c r="J35" s="1"/>
      <c r="K35" s="1" t="s">
        <v>38</v>
      </c>
      <c r="L35" s="21">
        <f>$H$57*L34</f>
        <v>8294607.7138488647</v>
      </c>
      <c r="M35" s="21"/>
      <c r="N35" s="21"/>
      <c r="O35" s="21"/>
      <c r="P35" s="21"/>
      <c r="Q35" s="21"/>
      <c r="R35" s="2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 t="s">
        <v>43</v>
      </c>
      <c r="L36" s="21" t="str">
        <f>IF(L35&gt;L31, "Yes","No")</f>
        <v>No</v>
      </c>
      <c r="M36" s="21"/>
      <c r="N36" s="21"/>
      <c r="O36" s="21"/>
      <c r="P36" s="21"/>
      <c r="Q36" s="21"/>
      <c r="R36" s="2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x14ac:dyDescent="0.25">
      <c r="A37" s="1"/>
      <c r="B37" s="5" t="s">
        <v>7</v>
      </c>
      <c r="C37" s="6" t="s">
        <v>8</v>
      </c>
      <c r="D37" s="6"/>
      <c r="E37" s="6"/>
      <c r="F37" s="6"/>
      <c r="G37" s="6"/>
      <c r="H37" s="9">
        <v>0.3</v>
      </c>
      <c r="I37" s="9"/>
      <c r="J37" s="1"/>
      <c r="K37" s="1"/>
      <c r="L37" s="21"/>
      <c r="M37" s="21"/>
      <c r="N37" s="21"/>
      <c r="O37" s="21"/>
      <c r="P37" s="21"/>
      <c r="Q37" s="21"/>
      <c r="R37" s="2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x14ac:dyDescent="0.25">
      <c r="A38" s="1"/>
      <c r="B38" s="3"/>
      <c r="C38" s="6"/>
      <c r="D38" s="6"/>
      <c r="E38" s="6"/>
      <c r="F38" s="6"/>
      <c r="G38" s="6"/>
      <c r="H38" s="9"/>
      <c r="I38" s="9"/>
      <c r="J38" s="1"/>
      <c r="K38" s="24"/>
      <c r="L38" s="25" t="s">
        <v>21</v>
      </c>
      <c r="M38" s="25"/>
      <c r="N38" s="25"/>
      <c r="O38" s="25"/>
      <c r="P38" s="25"/>
      <c r="Q38" s="25"/>
      <c r="R38" s="25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x14ac:dyDescent="0.25">
      <c r="A39" s="1"/>
      <c r="B39" s="3"/>
      <c r="C39" s="6"/>
      <c r="D39" s="6"/>
      <c r="E39" s="6"/>
      <c r="F39" s="6"/>
      <c r="G39" s="6"/>
      <c r="H39" s="9"/>
      <c r="I39" s="9"/>
      <c r="J39" s="1"/>
      <c r="K39" s="15"/>
      <c r="L39" s="15">
        <f>L24</f>
        <v>1</v>
      </c>
      <c r="M39" s="15">
        <f>M24</f>
        <v>2</v>
      </c>
      <c r="N39" s="15">
        <f>N24</f>
        <v>3</v>
      </c>
      <c r="O39" s="15">
        <f>O24</f>
        <v>4</v>
      </c>
      <c r="P39" s="15">
        <f>P24</f>
        <v>5</v>
      </c>
      <c r="Q39" s="15">
        <f>Q24</f>
        <v>6</v>
      </c>
      <c r="R39" s="15">
        <f>R24</f>
        <v>7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x14ac:dyDescent="0.25">
      <c r="A40" s="1"/>
      <c r="B40" s="3"/>
      <c r="C40" s="6"/>
      <c r="D40" s="6"/>
      <c r="E40" s="6"/>
      <c r="F40" s="6"/>
      <c r="G40" s="6"/>
      <c r="H40" s="9"/>
      <c r="I40" s="9"/>
      <c r="J40" s="1"/>
      <c r="K40" s="22" t="s">
        <v>33</v>
      </c>
      <c r="L40" s="16"/>
      <c r="M40" s="16"/>
      <c r="N40" s="16"/>
      <c r="O40" s="16"/>
      <c r="P40" s="16"/>
      <c r="Q40" s="16"/>
      <c r="R40" s="16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 t="s">
        <v>35</v>
      </c>
      <c r="L41" s="1" t="str">
        <f>IF((H42/H47)&gt;H32,"No","Yes")</f>
        <v>Yes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x14ac:dyDescent="0.25">
      <c r="A42" s="1"/>
      <c r="B42" s="5" t="s">
        <v>9</v>
      </c>
      <c r="C42" s="6" t="s">
        <v>13</v>
      </c>
      <c r="D42" s="6"/>
      <c r="E42" s="6"/>
      <c r="F42" s="6"/>
      <c r="G42" s="6"/>
      <c r="H42" s="8">
        <v>5000000</v>
      </c>
      <c r="I42" s="8"/>
      <c r="J42" s="1"/>
      <c r="K42" s="1" t="s">
        <v>23</v>
      </c>
      <c r="L42" s="20">
        <f>IF(L39=$H$47,$H$42/-L39,M42)</f>
        <v>-1000000</v>
      </c>
      <c r="M42" s="20">
        <f>IF(M39=$H$47,$H$42/-M39,N42)</f>
        <v>-1000000</v>
      </c>
      <c r="N42" s="20">
        <f>IF(N39=$H$47,$H$42/-N39,O42)</f>
        <v>-1000000</v>
      </c>
      <c r="O42" s="20">
        <f>IF(O39=$H$47,$H$42/-O39,P42)</f>
        <v>-1000000</v>
      </c>
      <c r="P42" s="20">
        <f>IF(P39=$H$47,$H$42/-P39,Q42)</f>
        <v>-1000000</v>
      </c>
      <c r="Q42" s="20">
        <f>IF(Q39=$H$47,$H$42/-Q39,R42)</f>
        <v>0</v>
      </c>
      <c r="R42" s="20">
        <f>IF(R39=$H$47,$H$42/-R39,S39)</f>
        <v>0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x14ac:dyDescent="0.25">
      <c r="A43" s="1"/>
      <c r="B43" s="3"/>
      <c r="C43" s="6"/>
      <c r="D43" s="6"/>
      <c r="E43" s="6"/>
      <c r="F43" s="6"/>
      <c r="G43" s="6"/>
      <c r="H43" s="8"/>
      <c r="I43" s="8"/>
      <c r="J43" s="1"/>
      <c r="K43" s="1" t="s">
        <v>24</v>
      </c>
      <c r="L43" s="21">
        <f>NPV($H$37,L42:R42)</f>
        <v>-2435569.7521903184</v>
      </c>
      <c r="M43" s="21"/>
      <c r="N43" s="21"/>
      <c r="O43" s="21"/>
      <c r="P43" s="21"/>
      <c r="Q43" s="21"/>
      <c r="R43" s="2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x14ac:dyDescent="0.25">
      <c r="A44" s="1"/>
      <c r="B44" s="3"/>
      <c r="C44" s="6"/>
      <c r="D44" s="6"/>
      <c r="E44" s="6"/>
      <c r="F44" s="6"/>
      <c r="G44" s="6"/>
      <c r="H44" s="8"/>
      <c r="I44" s="8"/>
      <c r="J44" s="1"/>
      <c r="K44" s="1" t="s">
        <v>36</v>
      </c>
      <c r="L44" s="20">
        <f>IF(L39=$H$47,$H$52,0)</f>
        <v>0</v>
      </c>
      <c r="M44" s="20">
        <f>IF(M39=$H$47,$H$52,0)</f>
        <v>0</v>
      </c>
      <c r="N44" s="20">
        <f>IF(N39=$H$47,$H$52,0)</f>
        <v>0</v>
      </c>
      <c r="O44" s="20">
        <f>IF(O39=$H$47,$H$52,0)</f>
        <v>0</v>
      </c>
      <c r="P44" s="20">
        <f>IF(P39=$H$47,$H$52,0)</f>
        <v>30000000</v>
      </c>
      <c r="Q44" s="20">
        <f>IF(Q39=$H$47,$H$52,0)</f>
        <v>0</v>
      </c>
      <c r="R44" s="20">
        <f>IF(R39=$H$47,$H$52,0)</f>
        <v>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x14ac:dyDescent="0.25">
      <c r="A45" s="1"/>
      <c r="B45" s="3"/>
      <c r="C45" s="6"/>
      <c r="D45" s="6"/>
      <c r="E45" s="6"/>
      <c r="F45" s="6"/>
      <c r="G45" s="6"/>
      <c r="H45" s="8"/>
      <c r="I45" s="8"/>
      <c r="J45" s="1"/>
      <c r="K45" s="1" t="s">
        <v>30</v>
      </c>
      <c r="L45" s="21">
        <f>NPV($H$37,L44:R44)</f>
        <v>8079872.2302871281</v>
      </c>
      <c r="M45" s="21"/>
      <c r="N45" s="21"/>
      <c r="O45" s="21"/>
      <c r="P45" s="21"/>
      <c r="Q45" s="21"/>
      <c r="R45" s="2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 t="s">
        <v>31</v>
      </c>
      <c r="L46" s="21">
        <f>L45+L43</f>
        <v>5644302.4780968092</v>
      </c>
      <c r="M46" s="21"/>
      <c r="N46" s="21"/>
      <c r="O46" s="21"/>
      <c r="P46" s="21"/>
      <c r="Q46" s="21"/>
      <c r="R46" s="2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x14ac:dyDescent="0.25">
      <c r="A47" s="1"/>
      <c r="B47" s="5" t="s">
        <v>10</v>
      </c>
      <c r="C47" s="6" t="s">
        <v>14</v>
      </c>
      <c r="D47" s="6"/>
      <c r="E47" s="6"/>
      <c r="F47" s="6"/>
      <c r="G47" s="6"/>
      <c r="H47" s="7">
        <v>5</v>
      </c>
      <c r="I47" s="7"/>
      <c r="J47" s="1"/>
      <c r="K47" s="1" t="s">
        <v>39</v>
      </c>
      <c r="L47" s="21">
        <f>$H$57*L46+(1-$H$57)*L43</f>
        <v>2816347.197496315</v>
      </c>
      <c r="M47" s="21"/>
      <c r="N47" s="21"/>
      <c r="O47" s="21"/>
      <c r="P47" s="21"/>
      <c r="Q47" s="21"/>
      <c r="R47" s="2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25">
      <c r="A48" s="1"/>
      <c r="B48" s="3"/>
      <c r="C48" s="6"/>
      <c r="D48" s="6"/>
      <c r="E48" s="6"/>
      <c r="F48" s="6"/>
      <c r="G48" s="6"/>
      <c r="H48" s="7"/>
      <c r="I48" s="7"/>
      <c r="J48" s="1"/>
      <c r="K48" s="1" t="s">
        <v>26</v>
      </c>
      <c r="L48" s="21">
        <f>IF(L39=$H$47,$H$42+$H$62*(L44-$H$42),0)</f>
        <v>0</v>
      </c>
      <c r="M48" s="21">
        <f>IF(M39=$H$47,$H$42+$H$62*(M44-$H$42),0)</f>
        <v>0</v>
      </c>
      <c r="N48" s="21">
        <f>IF(N39=$H$47,$H$42+$H$62*(N44-$H$42),0)</f>
        <v>0</v>
      </c>
      <c r="O48" s="21">
        <f>IF(O39=$H$47,$H$42+$H$62*(O44-$H$42),0)</f>
        <v>0</v>
      </c>
      <c r="P48" s="21">
        <f>IF(P39=$H$47,$H$42+$H$62*(P44-$H$42),0)</f>
        <v>11250000</v>
      </c>
      <c r="Q48" s="21">
        <f>IF(Q39=$H$47,$H$42+$H$62*(Q44-$H$42),0)</f>
        <v>0</v>
      </c>
      <c r="R48" s="21">
        <f>IF(R39=$H$47,$H$42+$H$62*(R44-$H$42),0)</f>
        <v>0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25">
      <c r="A49" s="1"/>
      <c r="B49" s="3"/>
      <c r="C49" s="6"/>
      <c r="D49" s="6"/>
      <c r="E49" s="6"/>
      <c r="F49" s="6"/>
      <c r="G49" s="6"/>
      <c r="H49" s="7"/>
      <c r="I49" s="7"/>
      <c r="J49" s="1"/>
      <c r="K49" s="1" t="s">
        <v>27</v>
      </c>
      <c r="L49" s="21">
        <f>NPV($H$37,L48:R48)</f>
        <v>3029952.0863576732</v>
      </c>
      <c r="M49" s="21"/>
      <c r="N49" s="21"/>
      <c r="O49" s="21"/>
      <c r="P49" s="21"/>
      <c r="Q49" s="21"/>
      <c r="R49" s="2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25">
      <c r="A50" s="1"/>
      <c r="B50" s="3"/>
      <c r="C50" s="6"/>
      <c r="D50" s="6"/>
      <c r="E50" s="6"/>
      <c r="F50" s="6"/>
      <c r="G50" s="6"/>
      <c r="H50" s="7"/>
      <c r="I50" s="7"/>
      <c r="J50" s="1"/>
      <c r="K50" s="1" t="s">
        <v>28</v>
      </c>
      <c r="L50" s="21">
        <f>(L45-L49)</f>
        <v>5049920.1439294554</v>
      </c>
      <c r="M50" s="21"/>
      <c r="N50" s="21"/>
      <c r="O50" s="21"/>
      <c r="P50" s="21"/>
      <c r="Q50" s="21"/>
      <c r="R50" s="2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 t="s">
        <v>38</v>
      </c>
      <c r="L51" s="21">
        <f>$H$57*L50</f>
        <v>3282448.0935541461</v>
      </c>
      <c r="M51" s="21"/>
      <c r="N51" s="21"/>
      <c r="O51" s="21"/>
      <c r="P51" s="21"/>
      <c r="Q51" s="21"/>
      <c r="R51" s="2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25">
      <c r="A52" s="1"/>
      <c r="B52" s="5" t="s">
        <v>15</v>
      </c>
      <c r="C52" s="6" t="s">
        <v>16</v>
      </c>
      <c r="D52" s="6"/>
      <c r="E52" s="6"/>
      <c r="F52" s="6"/>
      <c r="G52" s="6"/>
      <c r="H52" s="8">
        <v>30000000</v>
      </c>
      <c r="I52" s="8"/>
      <c r="J52" s="1"/>
      <c r="K52" s="1" t="s">
        <v>44</v>
      </c>
      <c r="L52" s="21" t="str">
        <f>IF(L51&gt;L47,"Yes","No")</f>
        <v>Yes</v>
      </c>
      <c r="M52" s="21"/>
      <c r="N52" s="21"/>
      <c r="O52" s="21"/>
      <c r="P52" s="21"/>
      <c r="Q52" s="21"/>
      <c r="R52" s="2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25">
      <c r="A53" s="1"/>
      <c r="B53" s="3"/>
      <c r="C53" s="6"/>
      <c r="D53" s="6"/>
      <c r="E53" s="6"/>
      <c r="F53" s="6"/>
      <c r="G53" s="6"/>
      <c r="H53" s="8"/>
      <c r="I53" s="8"/>
      <c r="J53" s="1"/>
      <c r="K53" s="1"/>
      <c r="L53" s="21"/>
      <c r="M53" s="21"/>
      <c r="N53" s="21"/>
      <c r="O53" s="21"/>
      <c r="P53" s="21"/>
      <c r="Q53" s="21"/>
      <c r="R53" s="2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x14ac:dyDescent="0.25">
      <c r="A54" s="1"/>
      <c r="B54" s="3"/>
      <c r="C54" s="6"/>
      <c r="D54" s="6"/>
      <c r="E54" s="6"/>
      <c r="F54" s="6"/>
      <c r="G54" s="6"/>
      <c r="H54" s="8"/>
      <c r="I54" s="8"/>
      <c r="J54" s="1"/>
      <c r="K54" s="24"/>
      <c r="L54" s="25" t="s">
        <v>21</v>
      </c>
      <c r="M54" s="25"/>
      <c r="N54" s="25"/>
      <c r="O54" s="25"/>
      <c r="P54" s="25"/>
      <c r="Q54" s="25"/>
      <c r="R54" s="25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x14ac:dyDescent="0.25">
      <c r="A55" s="1"/>
      <c r="B55" s="3"/>
      <c r="C55" s="6"/>
      <c r="D55" s="6"/>
      <c r="E55" s="6"/>
      <c r="F55" s="6"/>
      <c r="G55" s="6"/>
      <c r="H55" s="8"/>
      <c r="I55" s="8"/>
      <c r="J55" s="1"/>
      <c r="K55" s="23"/>
      <c r="L55" s="23">
        <v>1</v>
      </c>
      <c r="M55" s="23">
        <f>L55+1</f>
        <v>2</v>
      </c>
      <c r="N55" s="23">
        <f t="shared" ref="N55:R55" si="3">M55+1</f>
        <v>3</v>
      </c>
      <c r="O55" s="23">
        <f t="shared" si="3"/>
        <v>4</v>
      </c>
      <c r="P55" s="23">
        <f t="shared" si="3"/>
        <v>5</v>
      </c>
      <c r="Q55" s="23">
        <f t="shared" si="3"/>
        <v>6</v>
      </c>
      <c r="R55" s="23">
        <f t="shared" si="3"/>
        <v>7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x14ac:dyDescent="0.25">
      <c r="A56" s="1"/>
      <c r="B56" s="12"/>
      <c r="C56" s="13"/>
      <c r="D56" s="13"/>
      <c r="E56" s="13"/>
      <c r="F56" s="13"/>
      <c r="G56" s="13"/>
      <c r="H56" s="14"/>
      <c r="I56" s="14"/>
      <c r="J56" s="1"/>
      <c r="K56" s="22" t="s">
        <v>41</v>
      </c>
      <c r="L56" s="18"/>
      <c r="M56" s="18"/>
      <c r="N56" s="18"/>
      <c r="O56" s="18"/>
      <c r="P56" s="18"/>
      <c r="Q56" s="18"/>
      <c r="R56" s="18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x14ac:dyDescent="0.25">
      <c r="A57" s="1"/>
      <c r="B57" s="5" t="s">
        <v>17</v>
      </c>
      <c r="C57" s="6" t="s">
        <v>19</v>
      </c>
      <c r="D57" s="6"/>
      <c r="E57" s="6"/>
      <c r="F57" s="6"/>
      <c r="G57" s="6"/>
      <c r="H57" s="9">
        <v>0.65</v>
      </c>
      <c r="I57" s="9"/>
      <c r="J57" s="1"/>
      <c r="K57" s="1" t="s">
        <v>40</v>
      </c>
      <c r="L57" s="20">
        <f>-H42</f>
        <v>-5000000</v>
      </c>
      <c r="M57" s="20"/>
      <c r="N57" s="20"/>
      <c r="O57" s="20"/>
      <c r="P57" s="20"/>
      <c r="Q57" s="20"/>
      <c r="R57" s="20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x14ac:dyDescent="0.25">
      <c r="A58" s="1"/>
      <c r="B58" s="3"/>
      <c r="C58" s="6"/>
      <c r="D58" s="6"/>
      <c r="E58" s="6"/>
      <c r="F58" s="6"/>
      <c r="G58" s="6"/>
      <c r="H58" s="9"/>
      <c r="I58" s="9"/>
      <c r="J58" s="1"/>
      <c r="K58" s="1" t="s">
        <v>24</v>
      </c>
      <c r="L58" s="21">
        <f>L57</f>
        <v>-5000000</v>
      </c>
      <c r="M58" s="21"/>
      <c r="N58" s="21"/>
      <c r="O58" s="21"/>
      <c r="P58" s="21"/>
      <c r="Q58" s="21"/>
      <c r="R58" s="2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x14ac:dyDescent="0.25">
      <c r="A59" s="1"/>
      <c r="B59" s="3"/>
      <c r="C59" s="6"/>
      <c r="D59" s="6"/>
      <c r="E59" s="6"/>
      <c r="F59" s="6"/>
      <c r="G59" s="6"/>
      <c r="H59" s="9"/>
      <c r="I59" s="9"/>
      <c r="J59" s="1"/>
      <c r="K59" s="1" t="s">
        <v>36</v>
      </c>
      <c r="L59" s="20">
        <f>IF(L55=$H$47,$H$52,0)</f>
        <v>0</v>
      </c>
      <c r="M59" s="20">
        <f>IF(M55=$H$47,$H$52,0)</f>
        <v>0</v>
      </c>
      <c r="N59" s="20">
        <f>IF(N55=$H$47,$H$52,0)</f>
        <v>0</v>
      </c>
      <c r="O59" s="20">
        <f>IF(O55=$H$47,$H$52,0)</f>
        <v>0</v>
      </c>
      <c r="P59" s="20">
        <f>IF(P55=$H$47,$H$52,0)</f>
        <v>30000000</v>
      </c>
      <c r="Q59" s="20">
        <f>IF(Q55=$H$47,$H$52,0)</f>
        <v>0</v>
      </c>
      <c r="R59" s="20">
        <f>IF(R55=$H$47,$H$52,0)</f>
        <v>0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x14ac:dyDescent="0.25">
      <c r="A60" s="1"/>
      <c r="B60" s="3"/>
      <c r="C60" s="6"/>
      <c r="D60" s="6"/>
      <c r="E60" s="6"/>
      <c r="F60" s="6"/>
      <c r="G60" s="6"/>
      <c r="H60" s="9"/>
      <c r="I60" s="9"/>
      <c r="J60" s="1"/>
      <c r="K60" s="1" t="s">
        <v>30</v>
      </c>
      <c r="L60" s="21">
        <f>NPV($H$37,L59:R59)</f>
        <v>8079872.2302871281</v>
      </c>
      <c r="M60" s="21"/>
      <c r="N60" s="21"/>
      <c r="O60" s="21"/>
      <c r="P60" s="21"/>
      <c r="Q60" s="21"/>
      <c r="R60" s="2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 t="s">
        <v>31</v>
      </c>
      <c r="L61" s="21">
        <f>L60+L58</f>
        <v>3079872.2302871281</v>
      </c>
      <c r="M61" s="21"/>
      <c r="N61" s="21"/>
      <c r="O61" s="21"/>
      <c r="P61" s="21"/>
      <c r="Q61" s="21"/>
      <c r="R61" s="2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x14ac:dyDescent="0.25">
      <c r="A62" s="1"/>
      <c r="B62" s="5" t="s">
        <v>18</v>
      </c>
      <c r="C62" s="6" t="s">
        <v>25</v>
      </c>
      <c r="D62" s="6"/>
      <c r="E62" s="6"/>
      <c r="F62" s="6"/>
      <c r="G62" s="6"/>
      <c r="H62" s="9">
        <v>0.25</v>
      </c>
      <c r="I62" s="9"/>
      <c r="J62" s="1"/>
      <c r="K62" s="1" t="s">
        <v>39</v>
      </c>
      <c r="L62" s="21">
        <f>$H$57*L61+(1-$H$57)*L58</f>
        <v>251916.94968663342</v>
      </c>
      <c r="M62" s="21"/>
      <c r="N62" s="21"/>
      <c r="O62" s="21"/>
      <c r="P62" s="21"/>
      <c r="Q62" s="21"/>
      <c r="R62" s="2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x14ac:dyDescent="0.25">
      <c r="A63" s="1"/>
      <c r="B63" s="3"/>
      <c r="C63" s="6"/>
      <c r="D63" s="6"/>
      <c r="E63" s="6"/>
      <c r="F63" s="6"/>
      <c r="G63" s="6"/>
      <c r="H63" s="9"/>
      <c r="I63" s="9"/>
      <c r="J63" s="1"/>
      <c r="K63" s="1" t="s">
        <v>26</v>
      </c>
      <c r="L63" s="21">
        <f>IF(L55=$H$47,$H$42+$H$62*(L59-$H$42),0)</f>
        <v>0</v>
      </c>
      <c r="M63" s="21">
        <f>IF(M55=$H$47,$H$42+$H$62*(M59-$H$42),0)</f>
        <v>0</v>
      </c>
      <c r="N63" s="21">
        <f>IF(N55=$H$47,$H$42+$H$62*(N59-$H$42),0)</f>
        <v>0</v>
      </c>
      <c r="O63" s="21">
        <f>IF(O55=$H$47,$H$42+$H$62*(O59-$H$42),0)</f>
        <v>0</v>
      </c>
      <c r="P63" s="21">
        <f>IF(P55=$H$47,$H$42+$H$62*(P59-$H$42),0)</f>
        <v>11250000</v>
      </c>
      <c r="Q63" s="21">
        <f>IF(Q55=$H$47,$H$42+$H$62*(Q59-$H$42),0)</f>
        <v>0</v>
      </c>
      <c r="R63" s="21">
        <f>IF(R55=$H$47,$H$42+$H$62*(R59-$H$42),0)</f>
        <v>0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x14ac:dyDescent="0.25">
      <c r="A64" s="1"/>
      <c r="B64" s="3"/>
      <c r="C64" s="6"/>
      <c r="D64" s="6"/>
      <c r="E64" s="6"/>
      <c r="F64" s="6"/>
      <c r="G64" s="6"/>
      <c r="H64" s="9"/>
      <c r="I64" s="9"/>
      <c r="J64" s="1"/>
      <c r="K64" s="1" t="s">
        <v>27</v>
      </c>
      <c r="L64" s="21">
        <f>NPV($H$37,L63:R63)</f>
        <v>3029952.0863576732</v>
      </c>
      <c r="M64" s="21"/>
      <c r="N64" s="21"/>
      <c r="O64" s="21"/>
      <c r="P64" s="21"/>
      <c r="Q64" s="21"/>
      <c r="R64" s="2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x14ac:dyDescent="0.25">
      <c r="A65" s="1"/>
      <c r="B65" s="3"/>
      <c r="C65" s="6"/>
      <c r="D65" s="6"/>
      <c r="E65" s="6"/>
      <c r="F65" s="6"/>
      <c r="G65" s="6"/>
      <c r="H65" s="9"/>
      <c r="I65" s="9"/>
      <c r="J65" s="1"/>
      <c r="K65" s="1" t="s">
        <v>28</v>
      </c>
      <c r="L65" s="21">
        <f>(L60-L64)</f>
        <v>5049920.1439294554</v>
      </c>
      <c r="M65" s="21"/>
      <c r="N65" s="21"/>
      <c r="O65" s="21"/>
      <c r="P65" s="21"/>
      <c r="Q65" s="21"/>
      <c r="R65" s="2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x14ac:dyDescent="0.25">
      <c r="A66" s="1"/>
      <c r="B66" s="3"/>
      <c r="C66" s="3"/>
      <c r="D66" s="3"/>
      <c r="E66" s="3"/>
      <c r="F66" s="3"/>
      <c r="G66" s="3"/>
      <c r="H66" s="3"/>
      <c r="I66" s="3"/>
      <c r="J66" s="1"/>
      <c r="K66" s="1" t="s">
        <v>38</v>
      </c>
      <c r="L66" s="21">
        <f>$H$57*L65</f>
        <v>3282448.0935541461</v>
      </c>
      <c r="M66" s="21"/>
      <c r="N66" s="21"/>
      <c r="O66" s="21"/>
      <c r="P66" s="21"/>
      <c r="Q66" s="21"/>
      <c r="R66" s="2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x14ac:dyDescent="0.25">
      <c r="A67" s="1"/>
      <c r="B67" s="3"/>
      <c r="C67" s="3"/>
      <c r="D67" s="3"/>
      <c r="E67" s="3"/>
      <c r="F67" s="3"/>
      <c r="G67" s="3"/>
      <c r="H67" s="3"/>
      <c r="I67" s="3"/>
      <c r="J67" s="1"/>
      <c r="K67" s="1" t="s">
        <v>43</v>
      </c>
      <c r="L67" s="1" t="str">
        <f>IF(L66&gt;L62,"Yes","No")</f>
        <v>Yes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x14ac:dyDescent="0.25">
      <c r="A68" s="1"/>
      <c r="B68" s="3"/>
      <c r="C68" s="3"/>
      <c r="D68" s="3"/>
      <c r="E68" s="3"/>
      <c r="F68" s="3"/>
      <c r="G68" s="3"/>
      <c r="H68" s="3"/>
      <c r="I68" s="3"/>
      <c r="J68" s="1"/>
      <c r="K68" s="3"/>
      <c r="L68" s="3"/>
      <c r="M68" s="3"/>
      <c r="N68" s="3"/>
      <c r="O68" s="3"/>
      <c r="P68" s="3"/>
      <c r="Q68" s="3"/>
      <c r="R68" s="3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2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4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41" x14ac:dyDescent="0.25">
      <c r="K111" s="1"/>
      <c r="L111" s="1"/>
      <c r="M111" s="1"/>
      <c r="N111" s="1"/>
      <c r="O111" s="1"/>
      <c r="P111" s="1"/>
      <c r="Q111" s="1"/>
      <c r="R111" s="1"/>
      <c r="S111" s="1"/>
    </row>
    <row r="112" spans="1:41" x14ac:dyDescent="0.25">
      <c r="K112" s="1"/>
      <c r="L112" s="1"/>
      <c r="M112" s="1"/>
      <c r="N112" s="1"/>
      <c r="O112" s="1"/>
      <c r="P112" s="1"/>
      <c r="Q112" s="1"/>
      <c r="R112" s="1"/>
      <c r="S112" s="1"/>
    </row>
    <row r="113" spans="11:18" x14ac:dyDescent="0.25">
      <c r="K113" s="1"/>
      <c r="L113" s="1"/>
      <c r="M113" s="1"/>
      <c r="N113" s="1"/>
      <c r="O113" s="1"/>
      <c r="P113" s="1"/>
      <c r="Q113" s="1"/>
      <c r="R113" s="1"/>
    </row>
    <row r="114" spans="11:18" x14ac:dyDescent="0.25">
      <c r="K114" s="1"/>
      <c r="L114" s="1"/>
      <c r="M114" s="1"/>
      <c r="N114" s="1"/>
      <c r="O114" s="1"/>
      <c r="P114" s="1"/>
      <c r="Q114" s="1"/>
      <c r="R114" s="1"/>
    </row>
    <row r="115" spans="11:18" x14ac:dyDescent="0.25">
      <c r="K115" s="1"/>
      <c r="L115" s="1"/>
      <c r="M115" s="1"/>
      <c r="N115" s="1"/>
      <c r="O115" s="1"/>
      <c r="P115" s="1"/>
      <c r="Q115" s="1"/>
      <c r="R115" s="1"/>
    </row>
    <row r="116" spans="11:18" x14ac:dyDescent="0.25">
      <c r="K116" s="1"/>
      <c r="L116" s="1"/>
      <c r="M116" s="1"/>
      <c r="N116" s="1"/>
      <c r="O116" s="1"/>
      <c r="P116" s="1"/>
      <c r="Q116" s="1"/>
      <c r="R116" s="1"/>
    </row>
    <row r="117" spans="11:18" x14ac:dyDescent="0.25">
      <c r="K117" s="1"/>
      <c r="L117" s="1"/>
      <c r="M117" s="1"/>
      <c r="N117" s="1"/>
      <c r="O117" s="1"/>
      <c r="P117" s="1"/>
      <c r="Q117" s="1"/>
      <c r="R117" s="1"/>
    </row>
    <row r="118" spans="11:18" x14ac:dyDescent="0.25">
      <c r="K118" s="1"/>
      <c r="L118" s="1"/>
      <c r="M118" s="1"/>
      <c r="N118" s="1"/>
      <c r="O118" s="1"/>
      <c r="P118" s="1"/>
      <c r="Q118" s="1"/>
    </row>
    <row r="119" spans="11:18" x14ac:dyDescent="0.25">
      <c r="K119" s="1"/>
      <c r="L119" s="1"/>
      <c r="M119" s="1"/>
      <c r="N119" s="1"/>
      <c r="O119" s="1"/>
      <c r="P119" s="1"/>
      <c r="Q119" s="1"/>
    </row>
    <row r="120" spans="11:18" x14ac:dyDescent="0.25">
      <c r="K120" s="1"/>
      <c r="L120" s="1"/>
      <c r="M120" s="1"/>
      <c r="N120" s="1"/>
      <c r="O120" s="1"/>
      <c r="P120" s="1"/>
      <c r="Q120" s="1"/>
    </row>
  </sheetData>
  <mergeCells count="27">
    <mergeCell ref="L38:R38"/>
    <mergeCell ref="L54:R54"/>
    <mergeCell ref="B12:I15"/>
    <mergeCell ref="L23:R23"/>
    <mergeCell ref="K12:K15"/>
    <mergeCell ref="K17:K20"/>
    <mergeCell ref="H3:K6"/>
    <mergeCell ref="C17:G20"/>
    <mergeCell ref="H17:I20"/>
    <mergeCell ref="C22:G25"/>
    <mergeCell ref="H22:I25"/>
    <mergeCell ref="C27:G30"/>
    <mergeCell ref="H27:I30"/>
    <mergeCell ref="C32:G35"/>
    <mergeCell ref="H32:I35"/>
    <mergeCell ref="C37:G40"/>
    <mergeCell ref="H37:I40"/>
    <mergeCell ref="C42:G45"/>
    <mergeCell ref="H42:I45"/>
    <mergeCell ref="C47:G50"/>
    <mergeCell ref="H47:I50"/>
    <mergeCell ref="C52:G55"/>
    <mergeCell ref="H52:I55"/>
    <mergeCell ref="C62:G65"/>
    <mergeCell ref="H62:I65"/>
    <mergeCell ref="C57:G60"/>
    <mergeCell ref="H57:I6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lddrucker</dc:creator>
  <cp:lastModifiedBy>lddrucker</cp:lastModifiedBy>
  <dcterms:created xsi:type="dcterms:W3CDTF">2015-04-24T14:44:26Z</dcterms:created>
  <dcterms:modified xsi:type="dcterms:W3CDTF">2015-06-24T16:55:36Z</dcterms:modified>
</cp:coreProperties>
</file>